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39" activeTab="1"/>
  </bookViews>
  <sheets>
    <sheet name="汇总表" sheetId="4" r:id="rId1"/>
    <sheet name="项目明细" sheetId="3" r:id="rId2"/>
  </sheets>
  <definedNames>
    <definedName name="_xlnm.Print_Area" localSheetId="1">项目明细!$A$1:$N$27</definedName>
    <definedName name="_xlnm.Print_Titles" localSheetId="1">项目明细!$1:$3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<sst xmlns="http://schemas.openxmlformats.org/spreadsheetml/2006/main" count="98" uniqueCount="88">
  <si>
    <t>工程造价预算汇总表</t>
  </si>
  <si>
    <t>工程名称：津市市客货邮融合中心信息化项目</t>
  </si>
  <si>
    <t>单位：（元）</t>
  </si>
  <si>
    <t>序号</t>
  </si>
  <si>
    <t>费用名称</t>
  </si>
  <si>
    <t>预算报送金额</t>
  </si>
  <si>
    <t>初审审定金额</t>
  </si>
  <si>
    <t>复审审定金额（已下浮）</t>
  </si>
  <si>
    <t>审减金额</t>
  </si>
  <si>
    <t>备  注</t>
  </si>
  <si>
    <t>一</t>
  </si>
  <si>
    <t>工程费用</t>
  </si>
  <si>
    <t>津市市客货邮融合中心信息化项目</t>
  </si>
  <si>
    <t>二</t>
  </si>
  <si>
    <t>与工程建设有关的其它费用</t>
  </si>
  <si>
    <t>环境影响报告书编制</t>
  </si>
  <si>
    <t>可行性研究报告编制费</t>
  </si>
  <si>
    <t>工程设计费</t>
  </si>
  <si>
    <t>造价咨询费</t>
  </si>
  <si>
    <t>监理费</t>
  </si>
  <si>
    <t>检测费</t>
  </si>
  <si>
    <t>防雷检测费</t>
  </si>
  <si>
    <t>招标代理</t>
  </si>
  <si>
    <t>三</t>
  </si>
  <si>
    <t>不可预见费</t>
  </si>
  <si>
    <t>合  计</t>
  </si>
  <si>
    <t>单位：元</t>
  </si>
  <si>
    <t>项目名称</t>
  </si>
  <si>
    <t>主要参数</t>
  </si>
  <si>
    <t>单位</t>
  </si>
  <si>
    <t>报审
数量</t>
  </si>
  <si>
    <t>初审
数量</t>
  </si>
  <si>
    <t>报审单价</t>
  </si>
  <si>
    <t>初审单价</t>
  </si>
  <si>
    <t>报审小计</t>
  </si>
  <si>
    <t>初审小计</t>
  </si>
  <si>
    <t>数量</t>
  </si>
  <si>
    <t>复审单价</t>
  </si>
  <si>
    <t>复审小计</t>
  </si>
  <si>
    <t>一、单站点</t>
  </si>
  <si>
    <t>出入库设备，寄件把枪/一体机</t>
  </si>
  <si>
    <t>可识别多种码制的条码，算法鲁棒性强，可有效应对条码脏污、缺损、低 对 比 度 等 情 形 支 持 各 类 一 维 码 ： EAN/UPC/ISBN13/Codabar/ITF25/ITF14/Matrix25/Code39/Code93/C ode128/Code11/MSI/IND25
支持各类二维码：DM/QR/MicroQR/Aztec 传感器类型：后置 500 万像素
屏幕尺寸：4.0 英寸分辨率：480*800 聚焦模式：自动
图片分辨率：2M;5M;8M;13M 图片格式：JPEG
拨号：GSM1900;GSM 1800;GSM 900;GSM 850;WCDMA B1;WCDMA B5;WCDMA B8;TDD-LTE B34;TDD-LTE B38;TDD-LTE B39;TDD-LTE B40;TDD-LTE B41;FDD -LTE B1;FDD -LTE B3;FDD -LTE B5;FDD -LTE B8
Wi-Fi 工作模式：AP;STATION
Wi-Fi 频 率 范 围 ： 5.15-5.25 GHz;5.25-5.35 GHz;5.725-5.875 GHz;5.47-5.725 GHz;2.412-2.472 GHz
定位：GPS;北斗;GLONASS
蓝牙：5.0 NFC：选配
CPU：8 核 A53 @2.0GHZ
操作系统：Android 10 内存：2GB
闪光灯：支持
指示灯：充电指示灯;工作指示灯震动：支持
按键：导航键*4，数字键*10, 扫描键*3，功能键*5，扩展键*1，电源*1
产品重量：242g
产品尺寸：158.7*65.2*16.6mm 跌落性能：1.5 米跌落
供电方式：电池供电
工作温度：-20℃～+55℃ 工作湿度：&lt;95%
内置存储介质：Emmc 内置存储容量：32GB 充电接口：Type-C
扬声器：支持
MIC：支持
SIM 卡槽：2 个 Nano SIM 电池可拆卸：支持
电池容量：5000mAh 关机充电时间：4 小时
电池类型：锂离子电池
处理器：8 核 2.0GHz。操作系统：Android 11。
内存与存储：RAM 3GB，ROM 32GB，支持 SD 卡扩展，最大可扩展至256GB。
屏幕：4.0 寸 IPS 屏，支持多点触控。
按键：26 个物理按键，包括 1 个电源键、2 个快捷键。
摄像头：后置 1300 万自动对焦摄像头，配备高亮度 LED 闪光灯， 前置 500 万定焦摄像头。
音频：立体声扬声器，音量 95db±3db（测试距离 10cm）。
无线通讯：支持 IEEE 802.11 a/b/g/n/ac 2.4G/5G 双频 Wi-Fi，蓝牙 BT5.0 BLE，同时支持 FDD-LTE、TDD-LTE、WCDMA、GSM、CDMA/EVDO
等多种移动通讯技术。
NFC：支持 ISO14443A/B、ISO15693 协议，读取距离 0~5cm。定位：支持 GPS+BD+GLONASS 多模定位。
接口：USB TYPE-C 接口，支持 OTG，快速充电 5V/9V 1.67A，8Pin 底部触点，2 个 Nano SIM 卡槽或 1 个 Nano SIM+1 个 SD 卡槽。电池：5000mAh 大容量电池，支持 PE 快充，充满不超过 4 小时。尺寸：164（H）*68.9（W）*23.4（T）mm。
工作温度：-20℃至 + 55℃。
存储温度：-30℃至 + 70℃。</t>
  </si>
  <si>
    <t>台</t>
  </si>
  <si>
    <t>光纤或宽带</t>
  </si>
  <si>
    <t>包通信光纤上行带宽不低于2M/S，含一年网络费用（利旧）</t>
  </si>
  <si>
    <t>条</t>
  </si>
  <si>
    <t>便携式灭火器</t>
  </si>
  <si>
    <t>符合GB 55036规定,每 20 平米至少配备一个，重量 4 公斤</t>
  </si>
  <si>
    <t>个</t>
  </si>
  <si>
    <t>视频监控服务</t>
  </si>
  <si>
    <t>1、配置符合GB28181要求的视频监控设备：
400万像素，支持移动侦测，支持白平衡，电子快门1/3s～1/100000s， 1/2.7英寸CMOS ，ICR 50米红外 镜头焦距4mm/6mm/8mm/12mm可选， 50米红外距离， 内置麦克风 ，支持开放型网络视频接口， 符合IP67防尘防水设计
可采用云服务的方式，监控视频保存90天，所有视频流要能在总部实时进行查看和回看。
2、每个站点提供一条100M云专网给视频监控码流单独提供网络服务保障稳定运行
3、以上要求提供3年服务。</t>
  </si>
  <si>
    <t>货架</t>
  </si>
  <si>
    <t>规格：150*150*50cm 材质：加厚加宽骨架</t>
  </si>
  <si>
    <t>打印机</t>
  </si>
  <si>
    <t>打印方式：行式热敏打印
分辨率：203dpi（8dots/mm） 打印宽度：72mm（最大）
打印速度：60mm/s（最大）
通讯接口：USB 2.0，Bluetooth 3.0/BLE Dual Mode 存储器：RAM 16MB，Flash 32MB
字符：
字符大小：“FONT A 1224；FONTB 816；CHN 1616；2424”
文字数字：95 条码规格：
一维码：UPC - A、UPC - E、EAN8、EAN13、CODE39、CODEBAR、CODE128、CODE93
二维码：QR Code、PDF417
侦测：传感器包括缝标侦测、3'' 黑标侦测、缺纸侦测、温度侦测、低压侦测、开盖侦测
电源：
输入：AC 100 - 240V
输出：DC 5V/1A
电池：2000mAh/7.4V 可充电锂离子电池，充电时间 4 小时，待机时间 105 小时，持续工作 2.3 小时
纸张：
纸张宽度：46mm 或 62mm 或 80mm 纸张厚度：0.053mm - 0.15mm
纸卷直径：40mm（最大）
装纸：易装纸环境参数：
操作条件：-10℃ - 52℃，10%RH - 85%RH 储存条件：-20℃ - 60℃，5% - 90%RH 密封：IP54
跌落等级：1.5m 物理参数：
尺寸：109（W）×108（H）×51.2（D）mm 重量：372g（带电池）
软件功能： 指令集：CPCL
驱动程序：Windows（7、8、10、XP、Vista、Server 2008） 软件开发包：WinCE、Win Mobile、Android、iOS
可靠参数：
TPH 寿命（打印长度）：30km
脉冲次数：1 亿个脉冲或更多（印字率 12.5%） 认证：FCC，CE，CCC</t>
  </si>
  <si>
    <t>二、数据中心</t>
  </si>
  <si>
    <t>软件客户管理平台</t>
  </si>
  <si>
    <r>
      <rPr>
        <sz val="10"/>
        <rFont val="宋体"/>
        <charset val="134"/>
      </rPr>
      <t>对接省级邮政业信息化协同管理平台，自动化分拣线数据、车辆位置数据、末端驿站数据、末端驿站监控视频等数据融合展示应用；智能终端、车辆、人员等综合数据管理；共配中心端（含分拣线管理系统）、送悦共配小程序（共配员工、司机）、末端驿站APP等，符合省厅验收要求</t>
    </r>
    <r>
      <rPr>
        <sz val="10"/>
        <color rgb="FFFF0000"/>
        <rFont val="宋体"/>
        <charset val="134"/>
      </rPr>
      <t>（支持在符合国家安全可靠测评环境下开发及部署；提供3年云服务器安装环境和域名服务，提供三年软件系统运行维护）
综合管理端功能模块：
综合数据大屏，共配体系管理，共配业务管理，车辆管理，驿站管理，智能终端管理，从业人员管理，综合数据查询，统计报表。
应用端模块：共配中心端，共配小程序（共配员工、司机），末端驿站APP.公众号。</t>
    </r>
  </si>
  <si>
    <t>图形工作站</t>
  </si>
  <si>
    <t>主机:戴尔T3660 图形工作站 
CPU:英特尔酷睿·I5-12500 *1
内存:16G UDIMM DDR5 *2
硬盘:256G SSD SATA *1+ 2T SATA 7.2K *1
显卡:NVIDIA RTX A2000-12G *1</t>
  </si>
  <si>
    <t>显示大屏</t>
  </si>
  <si>
    <r>
      <rPr>
        <sz val="10"/>
        <rFont val="宋体"/>
        <charset val="134"/>
      </rPr>
      <t xml:space="preserve">分辨率：3840*2160；刷新率144Hz
亮度：1000nits
对比度：3500:1
内存存储：4GB+64GB
网络：无线网络、有线网络
100寸显示器；
</t>
    </r>
    <r>
      <rPr>
        <sz val="10"/>
        <color rgb="FFFF0000"/>
        <rFont val="宋体"/>
        <charset val="134"/>
      </rPr>
      <t>含固定安装支架一套，含移动安装支架一套</t>
    </r>
  </si>
  <si>
    <t>通信数据链路</t>
  </si>
  <si>
    <t>1、通信链路服务。1000M网速；赠送1个公网IP；（下行1000M，上行200M）；1年服务。
2、包含整个指挥中心工业级WIFI覆盖（整个生产车间提供全光网AC、AP设备，保证2000平米车间WIFI覆盖，采用工业级AC、AP设备，有13个设备，速率≥1Gbps；无缝漫游≤50ms
网络带机量：200~300 AP并发能力：64端稳定在线可保障；金属外壳，散热较好
支持上网管理，网络隔离）；1年服务。</t>
  </si>
  <si>
    <t>三、合    计</t>
  </si>
  <si>
    <t>一+二</t>
  </si>
  <si>
    <t>四、系统集成</t>
  </si>
  <si>
    <t>(二+4)×3%×1.2</t>
  </si>
  <si>
    <t>五、环境影响报告书编制</t>
  </si>
  <si>
    <t>报审：（三+四）×0.125%；评审取消。</t>
  </si>
  <si>
    <t>六、可行性研究报告编制费</t>
  </si>
  <si>
    <t>报审：（三+四）×0.078%；评审取消。</t>
  </si>
  <si>
    <t>七、工程设计费</t>
  </si>
  <si>
    <t>报审：（三+四）×2.25%×1.2；评审取消。</t>
  </si>
  <si>
    <t>八、造价咨询费</t>
  </si>
  <si>
    <t>报审：（三+四）×0.49%×1.14；评审取消。</t>
  </si>
  <si>
    <t>九、监理费</t>
  </si>
  <si>
    <t>报审：（三+四）×1.815%；评审取消。</t>
  </si>
  <si>
    <t>十、检测费</t>
  </si>
  <si>
    <t>报审：（三+四）×0.4%×1.8；评审取消。</t>
  </si>
  <si>
    <t>十一、防雷检测费</t>
  </si>
  <si>
    <t>报审：134×37；评审取消。</t>
  </si>
  <si>
    <t>十二、招标代理</t>
  </si>
  <si>
    <t>报审：（三+四）×1%；评审：（三+四）×1.1%。</t>
  </si>
  <si>
    <t>十三、不可预见费</t>
  </si>
  <si>
    <t>报审：（三+四+五+六+七+八+九+十+十一+十二）×5%；评审取消。</t>
  </si>
  <si>
    <t>总       计</t>
  </si>
  <si>
    <t>一+二+三+四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</si>
</sst>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20"/>
      <name val="黑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Tahoma"/>
      <charset val="134"/>
    </font>
    <font>
      <sz val="11"/>
      <color theme="1"/>
      <name val="Tahoma"/>
      <charset val="134"/>
    </font>
    <font>
      <b/>
      <sz val="17"/>
      <name val="宋体"/>
      <charset val="134"/>
    </font>
    <font>
      <b/>
      <sz val="17"/>
      <name val="Tahoma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4"/>
      <color theme="1"/>
      <name val="Times New Roman"/>
      <charset val="134"/>
    </font>
    <font>
      <sz val="11"/>
      <color rgb="FFFF0000"/>
      <name val="宋体"/>
      <charset val="134"/>
    </font>
    <font>
      <b/>
      <sz val="11"/>
      <name val="方正书宋_GBK"/>
      <charset val="134"/>
    </font>
    <font>
      <b/>
      <sz val="1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4" borderId="0" xfId="0" applyFont="1" applyFill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176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 shrinkToFit="1"/>
    </xf>
    <xf numFmtId="176" fontId="13" fillId="0" borderId="0" xfId="0" applyNumberFormat="1" applyFont="1" applyFill="1" applyAlignment="1">
      <alignment vertical="center" wrapText="1" shrinkToFit="1"/>
    </xf>
    <xf numFmtId="0" fontId="14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7" fillId="0" borderId="0" xfId="0" applyFont="1" applyFill="1" applyAlignment="1">
      <alignment horizontal="justify"/>
    </xf>
    <xf numFmtId="0" fontId="14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13</xdr:row>
      <xdr:rowOff>71120</xdr:rowOff>
    </xdr:from>
    <xdr:to>
      <xdr:col>16</xdr:col>
      <xdr:colOff>546735</xdr:colOff>
      <xdr:row>13</xdr:row>
      <xdr:rowOff>764540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7040" y="15133320"/>
          <a:ext cx="12325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13</xdr:row>
      <xdr:rowOff>93345</xdr:rowOff>
    </xdr:from>
    <xdr:to>
      <xdr:col>16</xdr:col>
      <xdr:colOff>628015</xdr:colOff>
      <xdr:row>13</xdr:row>
      <xdr:rowOff>842645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07040" y="15155545"/>
          <a:ext cx="131381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13</xdr:row>
      <xdr:rowOff>178435</xdr:rowOff>
    </xdr:from>
    <xdr:to>
      <xdr:col>16</xdr:col>
      <xdr:colOff>551815</xdr:colOff>
      <xdr:row>13</xdr:row>
      <xdr:rowOff>805815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07040" y="15240635"/>
          <a:ext cx="123761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13</xdr:row>
      <xdr:rowOff>168275</xdr:rowOff>
    </xdr:from>
    <xdr:to>
      <xdr:col>16</xdr:col>
      <xdr:colOff>514350</xdr:colOff>
      <xdr:row>13</xdr:row>
      <xdr:rowOff>829945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07040" y="15230475"/>
          <a:ext cx="1200150" cy="661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B1" workbookViewId="0">
      <selection activeCell="E5" sqref="E5"/>
    </sheetView>
  </sheetViews>
  <sheetFormatPr defaultColWidth="9" defaultRowHeight="14.25"/>
  <cols>
    <col min="1" max="1" width="5.63333333333333" style="40" customWidth="1"/>
    <col min="2" max="2" width="35.25" style="40" customWidth="1"/>
    <col min="3" max="3" width="20.8833333333333" style="42" customWidth="1"/>
    <col min="4" max="4" width="21.75" style="42" customWidth="1"/>
    <col min="5" max="5" width="22.8833333333333" style="42" customWidth="1"/>
    <col min="6" max="6" width="13.5" style="42" customWidth="1"/>
    <col min="7" max="7" width="17.5" style="40" customWidth="1"/>
    <col min="8" max="8" width="12.5" style="40" customWidth="1"/>
    <col min="9" max="9" width="8.63333333333333" style="40" customWidth="1"/>
    <col min="10" max="11" width="9" style="40"/>
    <col min="12" max="12" width="48.1666666666667" style="40" customWidth="1"/>
    <col min="13" max="16384" width="9" style="40"/>
  </cols>
  <sheetData>
    <row r="1" s="40" customFormat="1" ht="29" customHeight="1" spans="1:7">
      <c r="A1" s="43" t="s">
        <v>0</v>
      </c>
      <c r="B1" s="44"/>
      <c r="C1" s="45"/>
      <c r="D1" s="45"/>
      <c r="E1" s="45"/>
      <c r="F1" s="45"/>
      <c r="G1" s="44"/>
    </row>
    <row r="2" s="40" customFormat="1" ht="24" customHeight="1" spans="1:7">
      <c r="A2" s="46" t="s">
        <v>1</v>
      </c>
      <c r="B2" s="46"/>
      <c r="C2" s="47"/>
      <c r="D2" s="47"/>
      <c r="E2" s="47"/>
      <c r="F2" s="47"/>
      <c r="G2" s="48" t="s">
        <v>2</v>
      </c>
    </row>
    <row r="3" s="40" customFormat="1" ht="29" customHeight="1" spans="1:7">
      <c r="A3" s="49" t="s">
        <v>3</v>
      </c>
      <c r="B3" s="49" t="s">
        <v>4</v>
      </c>
      <c r="C3" s="50" t="s">
        <v>5</v>
      </c>
      <c r="D3" s="50" t="s">
        <v>6</v>
      </c>
      <c r="E3" s="50" t="s">
        <v>7</v>
      </c>
      <c r="F3" s="50" t="s">
        <v>8</v>
      </c>
      <c r="G3" s="49" t="s">
        <v>9</v>
      </c>
    </row>
    <row r="4" s="41" customFormat="1" ht="29" customHeight="1" spans="1:8">
      <c r="A4" s="49" t="s">
        <v>10</v>
      </c>
      <c r="B4" s="49" t="s">
        <v>11</v>
      </c>
      <c r="C4" s="51">
        <f>C5</f>
        <v>678810.17</v>
      </c>
      <c r="D4" s="51">
        <f>D5</f>
        <v>591826.256832</v>
      </c>
      <c r="E4" s="51">
        <f>E5</f>
        <v>564340.53408</v>
      </c>
      <c r="F4" s="51">
        <f>C4-E4</f>
        <v>114469.63592</v>
      </c>
      <c r="G4" s="49"/>
      <c r="H4" s="40"/>
    </row>
    <row r="5" s="41" customFormat="1" ht="29" customHeight="1" spans="1:8">
      <c r="A5" s="52">
        <v>1</v>
      </c>
      <c r="B5" s="52" t="s">
        <v>12</v>
      </c>
      <c r="C5" s="53">
        <f>659039+19771.17</f>
        <v>678810.17</v>
      </c>
      <c r="D5" s="53">
        <f>项目明细!J16+项目明细!J17</f>
        <v>591826.256832</v>
      </c>
      <c r="E5" s="53">
        <f>项目明细!M16+项目明细!M17</f>
        <v>564340.53408</v>
      </c>
      <c r="F5" s="53">
        <f>C5-E5</f>
        <v>114469.63592</v>
      </c>
      <c r="G5" s="54"/>
      <c r="H5" s="40"/>
    </row>
    <row r="6" s="41" customFormat="1" ht="29" customHeight="1" spans="1:8">
      <c r="A6" s="49" t="s">
        <v>13</v>
      </c>
      <c r="B6" s="49" t="s">
        <v>14</v>
      </c>
      <c r="C6" s="51">
        <f>SUM(C7:C14)</f>
        <v>52451.63235422</v>
      </c>
      <c r="D6" s="51">
        <f>SUM(D7:D14)</f>
        <v>5989.28171913984</v>
      </c>
      <c r="E6" s="51">
        <f>E14</f>
        <v>0</v>
      </c>
      <c r="F6" s="51">
        <v>46740.5</v>
      </c>
      <c r="G6" s="55"/>
      <c r="H6" s="40"/>
    </row>
    <row r="7" s="41" customFormat="1" ht="29" customHeight="1" spans="1:8">
      <c r="A7" s="52">
        <v>1</v>
      </c>
      <c r="B7" s="52" t="s">
        <v>15</v>
      </c>
      <c r="C7" s="53">
        <f>项目明细!I18</f>
        <v>848.5127125</v>
      </c>
      <c r="D7" s="53">
        <v>0</v>
      </c>
      <c r="E7" s="53">
        <f>D7</f>
        <v>0</v>
      </c>
      <c r="F7" s="53">
        <f>C7-E7</f>
        <v>848.5127125</v>
      </c>
      <c r="G7" s="52"/>
      <c r="H7" s="40"/>
    </row>
    <row r="8" s="41" customFormat="1" ht="29" customHeight="1" spans="1:7">
      <c r="A8" s="52">
        <v>2</v>
      </c>
      <c r="B8" s="52" t="s">
        <v>16</v>
      </c>
      <c r="C8" s="53">
        <f>项目明细!I19</f>
        <v>529.4719326</v>
      </c>
      <c r="D8" s="53">
        <v>0</v>
      </c>
      <c r="E8" s="53">
        <f t="shared" ref="E8:E14" si="0">D8</f>
        <v>0</v>
      </c>
      <c r="F8" s="53">
        <f t="shared" ref="F8:F16" si="1">C8-E8</f>
        <v>529.4719326</v>
      </c>
      <c r="G8" s="56"/>
    </row>
    <row r="9" s="41" customFormat="1" ht="29" customHeight="1" spans="1:8">
      <c r="A9" s="52">
        <v>3</v>
      </c>
      <c r="B9" s="52" t="s">
        <v>17</v>
      </c>
      <c r="C9" s="53">
        <f>项目明细!I20</f>
        <v>18327.87459</v>
      </c>
      <c r="D9" s="53">
        <v>0</v>
      </c>
      <c r="E9" s="53">
        <f t="shared" si="0"/>
        <v>0</v>
      </c>
      <c r="F9" s="53">
        <f t="shared" si="1"/>
        <v>18327.87459</v>
      </c>
      <c r="G9" s="56"/>
      <c r="H9" s="40"/>
    </row>
    <row r="10" s="41" customFormat="1" ht="29" customHeight="1" spans="1:8">
      <c r="A10" s="52">
        <v>4</v>
      </c>
      <c r="B10" s="52" t="s">
        <v>18</v>
      </c>
      <c r="C10" s="53">
        <f>项目明细!I21</f>
        <v>3791.83360962</v>
      </c>
      <c r="D10" s="53">
        <v>0</v>
      </c>
      <c r="E10" s="53">
        <f t="shared" si="0"/>
        <v>0</v>
      </c>
      <c r="F10" s="53">
        <f t="shared" si="1"/>
        <v>3791.83360962</v>
      </c>
      <c r="G10" s="56"/>
      <c r="H10" s="40"/>
    </row>
    <row r="11" s="40" customFormat="1" ht="29" customHeight="1" spans="1:8">
      <c r="A11" s="52">
        <v>5</v>
      </c>
      <c r="B11" s="52" t="s">
        <v>19</v>
      </c>
      <c r="C11" s="53">
        <f>项目明细!I22</f>
        <v>12320.4045855</v>
      </c>
      <c r="D11" s="53">
        <v>0</v>
      </c>
      <c r="E11" s="53">
        <f t="shared" si="0"/>
        <v>0</v>
      </c>
      <c r="F11" s="53">
        <f t="shared" si="1"/>
        <v>12320.4045855</v>
      </c>
      <c r="G11" s="56"/>
      <c r="H11" s="57"/>
    </row>
    <row r="12" s="40" customFormat="1" ht="29" customHeight="1" spans="1:12">
      <c r="A12" s="52">
        <v>6</v>
      </c>
      <c r="B12" s="58" t="s">
        <v>20</v>
      </c>
      <c r="C12" s="53">
        <f>项目明细!I23</f>
        <v>4887.433224</v>
      </c>
      <c r="D12" s="53">
        <v>0</v>
      </c>
      <c r="E12" s="53">
        <f t="shared" si="0"/>
        <v>0</v>
      </c>
      <c r="F12" s="53">
        <f t="shared" si="1"/>
        <v>4887.433224</v>
      </c>
      <c r="G12" s="52"/>
      <c r="H12" s="59"/>
      <c r="I12" s="59"/>
      <c r="J12" s="59"/>
      <c r="K12" s="59"/>
      <c r="L12" s="59"/>
    </row>
    <row r="13" s="40" customFormat="1" ht="29" customHeight="1" spans="1:7">
      <c r="A13" s="52">
        <v>7</v>
      </c>
      <c r="B13" s="58" t="s">
        <v>21</v>
      </c>
      <c r="C13" s="53">
        <f>项目明细!I24</f>
        <v>4958</v>
      </c>
      <c r="D13" s="53">
        <v>0</v>
      </c>
      <c r="E13" s="53">
        <f t="shared" si="0"/>
        <v>0</v>
      </c>
      <c r="F13" s="53">
        <f t="shared" si="1"/>
        <v>4958</v>
      </c>
      <c r="G13" s="52"/>
    </row>
    <row r="14" s="40" customFormat="1" ht="29" customHeight="1" spans="1:7">
      <c r="A14" s="52">
        <v>8</v>
      </c>
      <c r="B14" s="58" t="s">
        <v>22</v>
      </c>
      <c r="C14" s="53">
        <f>项目明细!I25</f>
        <v>6788.1017</v>
      </c>
      <c r="D14" s="53">
        <f>项目明细!J25</f>
        <v>5989.28171913984</v>
      </c>
      <c r="E14" s="53">
        <f>项目明细!M25</f>
        <v>0</v>
      </c>
      <c r="F14" s="53">
        <f t="shared" si="1"/>
        <v>6788.1017</v>
      </c>
      <c r="G14" s="60"/>
    </row>
    <row r="15" s="40" customFormat="1" ht="29" customHeight="1" spans="1:8">
      <c r="A15" s="49" t="s">
        <v>23</v>
      </c>
      <c r="B15" s="49" t="s">
        <v>24</v>
      </c>
      <c r="C15" s="51">
        <f>项目明细!I26</f>
        <v>36563.090117711</v>
      </c>
      <c r="D15" s="51">
        <v>0</v>
      </c>
      <c r="E15" s="51">
        <v>0</v>
      </c>
      <c r="F15" s="51">
        <f t="shared" si="1"/>
        <v>36563.090117711</v>
      </c>
      <c r="G15" s="55"/>
      <c r="H15" s="61"/>
    </row>
    <row r="16" s="40" customFormat="1" ht="29" customHeight="1" spans="1:7">
      <c r="A16" s="62" t="s">
        <v>25</v>
      </c>
      <c r="B16" s="63"/>
      <c r="C16" s="51">
        <f>C4+C6+C15</f>
        <v>767824.892471931</v>
      </c>
      <c r="D16" s="51">
        <f>D4+D6+D15</f>
        <v>597815.53855114</v>
      </c>
      <c r="E16" s="51">
        <f>E4+E6+E15</f>
        <v>564340.53408</v>
      </c>
      <c r="F16" s="51">
        <f t="shared" si="1"/>
        <v>203484.358391931</v>
      </c>
      <c r="G16" s="64">
        <f>F16/C16</f>
        <v>0.265014016069256</v>
      </c>
    </row>
    <row r="17" s="40" customFormat="1" spans="3:6">
      <c r="C17" s="42"/>
      <c r="D17" s="42"/>
      <c r="E17" s="42"/>
      <c r="F17" s="42"/>
    </row>
  </sheetData>
  <mergeCells count="3">
    <mergeCell ref="A1:G1"/>
    <mergeCell ref="A2:C2"/>
    <mergeCell ref="A16:B16"/>
  </mergeCells>
  <pageMargins left="1.18055555555556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view="pageBreakPreview" zoomScale="115" zoomScaleNormal="130" workbookViewId="0">
      <pane ySplit="3" topLeftCell="A4" activePane="bottomLeft" state="frozen"/>
      <selection/>
      <selection pane="bottomLeft" activeCell="B5" sqref="B5"/>
    </sheetView>
  </sheetViews>
  <sheetFormatPr defaultColWidth="9" defaultRowHeight="13.5"/>
  <cols>
    <col min="1" max="1" width="6.88333333333333" style="2" customWidth="1"/>
    <col min="2" max="2" width="12.1583333333333" style="3" customWidth="1"/>
    <col min="3" max="3" width="96.4083333333333" style="4" customWidth="1"/>
    <col min="4" max="4" width="6.13333333333333" style="2" customWidth="1"/>
    <col min="5" max="5" width="6.5" style="2" hidden="1" customWidth="1"/>
    <col min="6" max="6" width="6.5" style="5" hidden="1" customWidth="1"/>
    <col min="7" max="7" width="9.88333333333333" style="2" hidden="1" customWidth="1"/>
    <col min="8" max="8" width="9.88333333333333" style="5" hidden="1" customWidth="1"/>
    <col min="9" max="9" width="11.8416666666667" style="6" hidden="1" customWidth="1"/>
    <col min="10" max="10" width="11.8416666666667" style="5" hidden="1" customWidth="1"/>
    <col min="11" max="11" width="7.175" style="1" customWidth="1"/>
    <col min="12" max="13" width="11.1916666666667" style="1" hidden="1" customWidth="1"/>
    <col min="14" max="14" width="11.1916666666667" style="7" hidden="1" customWidth="1"/>
    <col min="15" max="15" width="10.4416666666667" style="5" customWidth="1"/>
    <col min="16" max="16" width="9" style="1"/>
    <col min="17" max="16384" width="9" style="2"/>
  </cols>
  <sheetData>
    <row r="1" ht="25.5" spans="1:15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8" t="s">
        <v>26</v>
      </c>
      <c r="O2" s="9"/>
    </row>
    <row r="3" ht="24" spans="1:15">
      <c r="A3" s="10" t="s">
        <v>3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0" t="s">
        <v>35</v>
      </c>
      <c r="K3" s="10" t="s">
        <v>36</v>
      </c>
      <c r="L3" s="10" t="s">
        <v>37</v>
      </c>
      <c r="M3" s="10" t="s">
        <v>38</v>
      </c>
      <c r="N3" s="29" t="s">
        <v>8</v>
      </c>
      <c r="O3" s="30"/>
    </row>
    <row r="4" ht="24" customHeight="1" spans="1:15">
      <c r="A4" s="11" t="s">
        <v>39</v>
      </c>
      <c r="B4" s="12"/>
      <c r="C4" s="12"/>
      <c r="D4" s="12"/>
      <c r="E4" s="12"/>
      <c r="F4" s="12"/>
      <c r="G4" s="12"/>
      <c r="H4" s="13"/>
      <c r="I4" s="31">
        <f>SUM(I5:I10)</f>
        <v>123839</v>
      </c>
      <c r="J4" s="31">
        <f>SUM(J5:J10)</f>
        <v>90716.6</v>
      </c>
      <c r="K4" s="31"/>
      <c r="L4" s="31"/>
      <c r="M4" s="31">
        <f>SUM(M5:M10)</f>
        <v>90716.6</v>
      </c>
      <c r="N4" s="32">
        <f>I4-M4</f>
        <v>33122.4</v>
      </c>
      <c r="O4" s="33"/>
    </row>
    <row r="5" ht="409" customHeight="1" spans="1:15">
      <c r="A5" s="14">
        <v>1</v>
      </c>
      <c r="B5" s="14" t="s">
        <v>40</v>
      </c>
      <c r="C5" s="15" t="s">
        <v>41</v>
      </c>
      <c r="D5" s="14" t="s">
        <v>42</v>
      </c>
      <c r="E5" s="14">
        <v>37</v>
      </c>
      <c r="F5" s="14">
        <v>37</v>
      </c>
      <c r="G5" s="16">
        <v>1400</v>
      </c>
      <c r="H5" s="16">
        <f>865*0.92</f>
        <v>795.8</v>
      </c>
      <c r="I5" s="16">
        <f t="shared" ref="I5:I10" si="0">E5*G5</f>
        <v>51800</v>
      </c>
      <c r="J5" s="16">
        <f t="shared" ref="J5:J10" si="1">F5*H5</f>
        <v>29444.6</v>
      </c>
      <c r="K5" s="16">
        <f>F5</f>
        <v>37</v>
      </c>
      <c r="L5" s="16">
        <f>H5</f>
        <v>795.8</v>
      </c>
      <c r="M5" s="16">
        <f>K5*L5</f>
        <v>29444.6</v>
      </c>
      <c r="N5" s="34">
        <f>I5-M5</f>
        <v>22355.4</v>
      </c>
      <c r="O5" s="35"/>
    </row>
    <row r="6" ht="24" customHeight="1" spans="1:15">
      <c r="A6" s="14">
        <v>2</v>
      </c>
      <c r="B6" s="14" t="s">
        <v>43</v>
      </c>
      <c r="C6" s="15" t="s">
        <v>44</v>
      </c>
      <c r="D6" s="14" t="s">
        <v>45</v>
      </c>
      <c r="E6" s="14">
        <v>37</v>
      </c>
      <c r="F6" s="14">
        <v>37</v>
      </c>
      <c r="G6" s="16">
        <v>0</v>
      </c>
      <c r="H6" s="16">
        <v>0</v>
      </c>
      <c r="I6" s="16">
        <f t="shared" si="0"/>
        <v>0</v>
      </c>
      <c r="J6" s="16">
        <f t="shared" si="1"/>
        <v>0</v>
      </c>
      <c r="K6" s="16">
        <f t="shared" ref="K6:K15" si="2">F6</f>
        <v>37</v>
      </c>
      <c r="L6" s="16">
        <f t="shared" ref="L6:L15" si="3">H6</f>
        <v>0</v>
      </c>
      <c r="M6" s="16">
        <f t="shared" ref="M6:M15" si="4">K6*L6</f>
        <v>0</v>
      </c>
      <c r="N6" s="34">
        <f t="shared" ref="N6:N15" si="5">I6-M6</f>
        <v>0</v>
      </c>
      <c r="O6" s="35"/>
    </row>
    <row r="7" ht="24" customHeight="1" spans="1:15">
      <c r="A7" s="14">
        <v>3</v>
      </c>
      <c r="B7" s="14" t="s">
        <v>46</v>
      </c>
      <c r="C7" s="15" t="s">
        <v>47</v>
      </c>
      <c r="D7" s="14" t="s">
        <v>48</v>
      </c>
      <c r="E7" s="14">
        <v>37</v>
      </c>
      <c r="F7" s="14">
        <v>37</v>
      </c>
      <c r="G7" s="16">
        <v>107</v>
      </c>
      <c r="H7" s="16">
        <f>60*0.92</f>
        <v>55.2</v>
      </c>
      <c r="I7" s="16">
        <f t="shared" si="0"/>
        <v>3959</v>
      </c>
      <c r="J7" s="16">
        <f t="shared" si="1"/>
        <v>2042.4</v>
      </c>
      <c r="K7" s="16">
        <f t="shared" si="2"/>
        <v>37</v>
      </c>
      <c r="L7" s="16">
        <f t="shared" si="3"/>
        <v>55.2</v>
      </c>
      <c r="M7" s="16">
        <f t="shared" si="4"/>
        <v>2042.4</v>
      </c>
      <c r="N7" s="34">
        <f t="shared" si="5"/>
        <v>1916.6</v>
      </c>
      <c r="O7" s="35"/>
    </row>
    <row r="8" ht="82" customHeight="1" spans="1:15">
      <c r="A8" s="14">
        <v>4</v>
      </c>
      <c r="B8" s="14" t="s">
        <v>49</v>
      </c>
      <c r="C8" s="15" t="s">
        <v>50</v>
      </c>
      <c r="D8" s="14" t="s">
        <v>42</v>
      </c>
      <c r="E8" s="14">
        <v>37</v>
      </c>
      <c r="F8" s="14">
        <v>37</v>
      </c>
      <c r="G8" s="16">
        <v>1100</v>
      </c>
      <c r="H8" s="16">
        <f>1100*0.92</f>
        <v>1012</v>
      </c>
      <c r="I8" s="16">
        <f t="shared" si="0"/>
        <v>40700</v>
      </c>
      <c r="J8" s="16">
        <f t="shared" si="1"/>
        <v>37444</v>
      </c>
      <c r="K8" s="16">
        <f t="shared" si="2"/>
        <v>37</v>
      </c>
      <c r="L8" s="16">
        <f t="shared" si="3"/>
        <v>1012</v>
      </c>
      <c r="M8" s="16">
        <f t="shared" si="4"/>
        <v>37444</v>
      </c>
      <c r="N8" s="34">
        <f t="shared" si="5"/>
        <v>3256</v>
      </c>
      <c r="O8" s="35"/>
    </row>
    <row r="9" spans="1:15">
      <c r="A9" s="14">
        <v>5</v>
      </c>
      <c r="B9" s="14" t="s">
        <v>51</v>
      </c>
      <c r="C9" s="15" t="s">
        <v>52</v>
      </c>
      <c r="D9" s="14" t="s">
        <v>48</v>
      </c>
      <c r="E9" s="14">
        <v>74</v>
      </c>
      <c r="F9" s="14">
        <v>74</v>
      </c>
      <c r="G9" s="16">
        <v>220</v>
      </c>
      <c r="H9" s="16">
        <f>220*0.92</f>
        <v>202.4</v>
      </c>
      <c r="I9" s="16">
        <f t="shared" si="0"/>
        <v>16280</v>
      </c>
      <c r="J9" s="16">
        <f t="shared" si="1"/>
        <v>14977.6</v>
      </c>
      <c r="K9" s="16">
        <f t="shared" si="2"/>
        <v>74</v>
      </c>
      <c r="L9" s="16">
        <f t="shared" si="3"/>
        <v>202.4</v>
      </c>
      <c r="M9" s="16">
        <f t="shared" si="4"/>
        <v>14977.6</v>
      </c>
      <c r="N9" s="34">
        <f t="shared" si="5"/>
        <v>1302.4</v>
      </c>
      <c r="O9" s="35"/>
    </row>
    <row r="10" ht="343" customHeight="1" spans="1:15">
      <c r="A10" s="14">
        <v>6</v>
      </c>
      <c r="B10" s="14" t="s">
        <v>53</v>
      </c>
      <c r="C10" s="15" t="s">
        <v>54</v>
      </c>
      <c r="D10" s="14" t="s">
        <v>42</v>
      </c>
      <c r="E10" s="14">
        <v>37</v>
      </c>
      <c r="F10" s="14">
        <v>37</v>
      </c>
      <c r="G10" s="16">
        <v>300</v>
      </c>
      <c r="H10" s="16">
        <f>200*0.92</f>
        <v>184</v>
      </c>
      <c r="I10" s="16">
        <f t="shared" si="0"/>
        <v>11100</v>
      </c>
      <c r="J10" s="16">
        <f t="shared" si="1"/>
        <v>6808</v>
      </c>
      <c r="K10" s="16">
        <f t="shared" si="2"/>
        <v>37</v>
      </c>
      <c r="L10" s="16">
        <f t="shared" si="3"/>
        <v>184</v>
      </c>
      <c r="M10" s="16">
        <f t="shared" si="4"/>
        <v>6808</v>
      </c>
      <c r="N10" s="34">
        <f t="shared" si="5"/>
        <v>4292</v>
      </c>
      <c r="O10" s="35"/>
    </row>
    <row r="11" spans="1:15">
      <c r="A11" s="11" t="s">
        <v>55</v>
      </c>
      <c r="B11" s="12"/>
      <c r="C11" s="12"/>
      <c r="D11" s="12"/>
      <c r="E11" s="12"/>
      <c r="F11" s="12"/>
      <c r="G11" s="12"/>
      <c r="H11" s="13"/>
      <c r="I11" s="31">
        <f>SUM(I12:I15)</f>
        <v>535200</v>
      </c>
      <c r="J11" s="31">
        <f>SUM(J12:J15)</f>
        <v>457240</v>
      </c>
      <c r="K11" s="36"/>
      <c r="L11" s="37"/>
      <c r="M11" s="31">
        <f>SUM(M12:M15)</f>
        <v>457240</v>
      </c>
      <c r="N11" s="32">
        <f t="shared" si="5"/>
        <v>77960</v>
      </c>
      <c r="O11" s="33"/>
    </row>
    <row r="12" s="1" customFormat="1" ht="110" customHeight="1" spans="1:15">
      <c r="A12" s="14">
        <v>7</v>
      </c>
      <c r="B12" s="14" t="s">
        <v>56</v>
      </c>
      <c r="C12" s="15" t="s">
        <v>57</v>
      </c>
      <c r="D12" s="14" t="s">
        <v>48</v>
      </c>
      <c r="E12" s="14">
        <v>1</v>
      </c>
      <c r="F12" s="14">
        <v>1</v>
      </c>
      <c r="G12" s="16">
        <v>472000</v>
      </c>
      <c r="H12" s="16">
        <f>472000*0.92</f>
        <v>434240</v>
      </c>
      <c r="I12" s="16">
        <f>E12*G12</f>
        <v>472000</v>
      </c>
      <c r="J12" s="16">
        <f>F12*H12</f>
        <v>434240</v>
      </c>
      <c r="K12" s="16">
        <f t="shared" si="2"/>
        <v>1</v>
      </c>
      <c r="L12" s="16">
        <f t="shared" si="3"/>
        <v>434240</v>
      </c>
      <c r="M12" s="16">
        <f t="shared" si="4"/>
        <v>434240</v>
      </c>
      <c r="N12" s="34">
        <f t="shared" si="5"/>
        <v>37760</v>
      </c>
      <c r="O12" s="35"/>
    </row>
    <row r="13" s="1" customFormat="1" ht="80" customHeight="1" spans="1:15">
      <c r="A13" s="14">
        <v>8</v>
      </c>
      <c r="B13" s="14" t="s">
        <v>58</v>
      </c>
      <c r="C13" s="15" t="s">
        <v>59</v>
      </c>
      <c r="D13" s="14" t="s">
        <v>42</v>
      </c>
      <c r="E13" s="14">
        <v>1</v>
      </c>
      <c r="F13" s="17">
        <v>0</v>
      </c>
      <c r="G13" s="16">
        <v>23200</v>
      </c>
      <c r="H13" s="16">
        <v>23200</v>
      </c>
      <c r="I13" s="16">
        <f>E13*G13</f>
        <v>23200</v>
      </c>
      <c r="J13" s="16">
        <f>F13*H13</f>
        <v>0</v>
      </c>
      <c r="K13" s="16">
        <f t="shared" si="2"/>
        <v>0</v>
      </c>
      <c r="L13" s="16">
        <f t="shared" si="3"/>
        <v>23200</v>
      </c>
      <c r="M13" s="16">
        <f t="shared" si="4"/>
        <v>0</v>
      </c>
      <c r="N13" s="34">
        <f t="shared" si="5"/>
        <v>23200</v>
      </c>
      <c r="O13" s="35"/>
    </row>
    <row r="14" s="1" customFormat="1" ht="101" customHeight="1" spans="1:15">
      <c r="A14" s="14">
        <v>9</v>
      </c>
      <c r="B14" s="18" t="s">
        <v>60</v>
      </c>
      <c r="C14" s="15" t="s">
        <v>61</v>
      </c>
      <c r="D14" s="14" t="s">
        <v>42</v>
      </c>
      <c r="E14" s="14">
        <v>1</v>
      </c>
      <c r="F14" s="14">
        <v>1</v>
      </c>
      <c r="G14" s="16">
        <v>10000</v>
      </c>
      <c r="H14" s="16">
        <f>10000*0.92</f>
        <v>9200</v>
      </c>
      <c r="I14" s="16">
        <f>E14*G14</f>
        <v>10000</v>
      </c>
      <c r="J14" s="16">
        <f>F14*H14</f>
        <v>9200</v>
      </c>
      <c r="K14" s="16">
        <f t="shared" si="2"/>
        <v>1</v>
      </c>
      <c r="L14" s="16">
        <f t="shared" si="3"/>
        <v>9200</v>
      </c>
      <c r="M14" s="16">
        <f t="shared" si="4"/>
        <v>9200</v>
      </c>
      <c r="N14" s="34">
        <f t="shared" si="5"/>
        <v>800</v>
      </c>
      <c r="O14" s="35"/>
    </row>
    <row r="15" s="1" customFormat="1" ht="72" customHeight="1" spans="1:15">
      <c r="A15" s="14">
        <v>10</v>
      </c>
      <c r="B15" s="18" t="s">
        <v>62</v>
      </c>
      <c r="C15" s="19" t="s">
        <v>63</v>
      </c>
      <c r="D15" s="14" t="s">
        <v>45</v>
      </c>
      <c r="E15" s="14">
        <v>1</v>
      </c>
      <c r="F15" s="14">
        <v>1</v>
      </c>
      <c r="G15" s="16">
        <v>30000</v>
      </c>
      <c r="H15" s="16">
        <f>15000*0.92</f>
        <v>13800</v>
      </c>
      <c r="I15" s="16">
        <f>E15*G15</f>
        <v>30000</v>
      </c>
      <c r="J15" s="16">
        <f>F15*H15</f>
        <v>13800</v>
      </c>
      <c r="K15" s="16">
        <f t="shared" si="2"/>
        <v>1</v>
      </c>
      <c r="L15" s="16">
        <f t="shared" si="3"/>
        <v>13800</v>
      </c>
      <c r="M15" s="16">
        <f t="shared" si="4"/>
        <v>13800</v>
      </c>
      <c r="N15" s="34">
        <f t="shared" si="5"/>
        <v>16200</v>
      </c>
      <c r="O15" s="35"/>
    </row>
    <row r="16" ht="19" customHeight="1" spans="1:15">
      <c r="A16" s="20" t="s">
        <v>64</v>
      </c>
      <c r="B16" s="20"/>
      <c r="C16" s="21" t="s">
        <v>65</v>
      </c>
      <c r="D16" s="22"/>
      <c r="E16" s="22"/>
      <c r="F16" s="22"/>
      <c r="G16" s="22"/>
      <c r="H16" s="23"/>
      <c r="I16" s="31">
        <f>I4+I11</f>
        <v>659039</v>
      </c>
      <c r="J16" s="31">
        <f>J4+J11</f>
        <v>547956.6</v>
      </c>
      <c r="K16" s="31"/>
      <c r="L16" s="31"/>
      <c r="M16" s="31">
        <f>M11+M4</f>
        <v>547956.6</v>
      </c>
      <c r="N16" s="32">
        <f t="shared" ref="N16:N27" si="6">I16-M16</f>
        <v>111082.4</v>
      </c>
      <c r="O16" s="33"/>
    </row>
    <row r="17" ht="45" customHeight="1" spans="1:15">
      <c r="A17" s="20" t="s">
        <v>66</v>
      </c>
      <c r="B17" s="20"/>
      <c r="C17" s="21" t="s">
        <v>67</v>
      </c>
      <c r="D17" s="22"/>
      <c r="E17" s="22"/>
      <c r="F17" s="22"/>
      <c r="G17" s="22"/>
      <c r="H17" s="23"/>
      <c r="I17" s="31">
        <f>I16*3%</f>
        <v>19771.17</v>
      </c>
      <c r="J17" s="31">
        <f>(J16-J8-J15)*8%*1.2*0.92</f>
        <v>43869.656832</v>
      </c>
      <c r="K17" s="31">
        <v>1</v>
      </c>
      <c r="L17" s="31"/>
      <c r="M17" s="31">
        <f>(M11+M8)*3%*1.2*0.92</f>
        <v>16383.93408</v>
      </c>
      <c r="N17" s="32">
        <f t="shared" si="6"/>
        <v>3387.23592</v>
      </c>
      <c r="O17" s="33">
        <f>J17-M17</f>
        <v>27485.722752</v>
      </c>
    </row>
    <row r="18" ht="58" hidden="1" customHeight="1" spans="1:15">
      <c r="A18" s="20" t="s">
        <v>68</v>
      </c>
      <c r="B18" s="20"/>
      <c r="C18" s="21" t="s">
        <v>69</v>
      </c>
      <c r="D18" s="22"/>
      <c r="E18" s="22"/>
      <c r="F18" s="22"/>
      <c r="G18" s="22"/>
      <c r="H18" s="23"/>
      <c r="I18" s="31">
        <f>(I16+I17)*0.125%</f>
        <v>848.5127125</v>
      </c>
      <c r="J18" s="31">
        <v>0</v>
      </c>
      <c r="K18" s="31"/>
      <c r="L18" s="31"/>
      <c r="M18" s="31">
        <f>J18</f>
        <v>0</v>
      </c>
      <c r="N18" s="32">
        <f t="shared" si="6"/>
        <v>848.5127125</v>
      </c>
      <c r="O18" s="38"/>
    </row>
    <row r="19" ht="37" hidden="1" customHeight="1" spans="1:15">
      <c r="A19" s="20" t="s">
        <v>70</v>
      </c>
      <c r="B19" s="20"/>
      <c r="C19" s="21" t="s">
        <v>71</v>
      </c>
      <c r="D19" s="22"/>
      <c r="E19" s="22"/>
      <c r="F19" s="22"/>
      <c r="G19" s="22"/>
      <c r="H19" s="23"/>
      <c r="I19" s="31">
        <f>(I16+I17)*0.078%</f>
        <v>529.4719326</v>
      </c>
      <c r="J19" s="31">
        <v>0</v>
      </c>
      <c r="K19" s="31"/>
      <c r="L19" s="31"/>
      <c r="M19" s="31">
        <f t="shared" ref="M19:M24" si="7">J19</f>
        <v>0</v>
      </c>
      <c r="N19" s="32">
        <f t="shared" si="6"/>
        <v>529.4719326</v>
      </c>
      <c r="O19" s="38"/>
    </row>
    <row r="20" ht="46" hidden="1" customHeight="1" spans="1:15">
      <c r="A20" s="20" t="s">
        <v>72</v>
      </c>
      <c r="B20" s="20"/>
      <c r="C20" s="21" t="s">
        <v>73</v>
      </c>
      <c r="D20" s="22"/>
      <c r="E20" s="22"/>
      <c r="F20" s="22"/>
      <c r="G20" s="22"/>
      <c r="H20" s="23"/>
      <c r="I20" s="31">
        <f>(I16+I17)*2.25%*1.2</f>
        <v>18327.87459</v>
      </c>
      <c r="J20" s="31">
        <v>0</v>
      </c>
      <c r="K20" s="31"/>
      <c r="L20" s="31"/>
      <c r="M20" s="31">
        <f t="shared" si="7"/>
        <v>0</v>
      </c>
      <c r="N20" s="32">
        <f t="shared" si="6"/>
        <v>18327.87459</v>
      </c>
      <c r="O20" s="33"/>
    </row>
    <row r="21" ht="37" hidden="1" customHeight="1" spans="1:15">
      <c r="A21" s="20" t="s">
        <v>74</v>
      </c>
      <c r="B21" s="20"/>
      <c r="C21" s="21" t="s">
        <v>75</v>
      </c>
      <c r="D21" s="22"/>
      <c r="E21" s="22"/>
      <c r="F21" s="22"/>
      <c r="G21" s="22"/>
      <c r="H21" s="23"/>
      <c r="I21" s="31">
        <f>(I16+I17)*0.49%*1.14</f>
        <v>3791.83360962</v>
      </c>
      <c r="J21" s="31">
        <v>0</v>
      </c>
      <c r="K21" s="31"/>
      <c r="L21" s="31"/>
      <c r="M21" s="31">
        <f t="shared" si="7"/>
        <v>0</v>
      </c>
      <c r="N21" s="32">
        <f t="shared" si="6"/>
        <v>3791.83360962</v>
      </c>
      <c r="O21" s="38"/>
    </row>
    <row r="22" ht="26" hidden="1" customHeight="1" spans="1:15">
      <c r="A22" s="20" t="s">
        <v>76</v>
      </c>
      <c r="B22" s="20"/>
      <c r="C22" s="21" t="s">
        <v>77</v>
      </c>
      <c r="D22" s="22"/>
      <c r="E22" s="22"/>
      <c r="F22" s="22"/>
      <c r="G22" s="22"/>
      <c r="H22" s="23"/>
      <c r="I22" s="31">
        <f>(I16+I17)*1.815%</f>
        <v>12320.4045855</v>
      </c>
      <c r="J22" s="31">
        <v>0</v>
      </c>
      <c r="K22" s="31"/>
      <c r="L22" s="31"/>
      <c r="M22" s="31">
        <f t="shared" si="7"/>
        <v>0</v>
      </c>
      <c r="N22" s="32">
        <f t="shared" si="6"/>
        <v>12320.4045855</v>
      </c>
      <c r="O22" s="33"/>
    </row>
    <row r="23" ht="33" hidden="1" customHeight="1" spans="1:15">
      <c r="A23" s="20" t="s">
        <v>78</v>
      </c>
      <c r="B23" s="20"/>
      <c r="C23" s="21" t="s">
        <v>79</v>
      </c>
      <c r="D23" s="22"/>
      <c r="E23" s="22"/>
      <c r="F23" s="22"/>
      <c r="G23" s="22"/>
      <c r="H23" s="23"/>
      <c r="I23" s="31">
        <f>(I16+I17)*0.4%*1.8</f>
        <v>4887.433224</v>
      </c>
      <c r="J23" s="31">
        <v>0</v>
      </c>
      <c r="K23" s="31"/>
      <c r="L23" s="31"/>
      <c r="M23" s="31">
        <f t="shared" si="7"/>
        <v>0</v>
      </c>
      <c r="N23" s="32">
        <f t="shared" si="6"/>
        <v>4887.433224</v>
      </c>
      <c r="O23" s="38"/>
    </row>
    <row r="24" ht="28" hidden="1" customHeight="1" spans="1:15">
      <c r="A24" s="20" t="s">
        <v>80</v>
      </c>
      <c r="B24" s="20"/>
      <c r="C24" s="21" t="s">
        <v>81</v>
      </c>
      <c r="D24" s="22"/>
      <c r="E24" s="22"/>
      <c r="F24" s="22"/>
      <c r="G24" s="22"/>
      <c r="H24" s="23"/>
      <c r="I24" s="31">
        <f>134*37</f>
        <v>4958</v>
      </c>
      <c r="J24" s="31">
        <v>0</v>
      </c>
      <c r="K24" s="31"/>
      <c r="L24" s="31"/>
      <c r="M24" s="31">
        <f t="shared" si="7"/>
        <v>0</v>
      </c>
      <c r="N24" s="32">
        <f t="shared" si="6"/>
        <v>4958</v>
      </c>
      <c r="O24" s="38"/>
    </row>
    <row r="25" ht="57" hidden="1" customHeight="1" spans="1:15">
      <c r="A25" s="20" t="s">
        <v>82</v>
      </c>
      <c r="B25" s="20"/>
      <c r="C25" s="21" t="s">
        <v>83</v>
      </c>
      <c r="D25" s="22"/>
      <c r="E25" s="22"/>
      <c r="F25" s="22"/>
      <c r="G25" s="22"/>
      <c r="H25" s="23"/>
      <c r="I25" s="31">
        <f>(I16+I17)*1%</f>
        <v>6788.1017</v>
      </c>
      <c r="J25" s="31">
        <f>(J16+J17)*1.1%*0.92</f>
        <v>5989.28171913984</v>
      </c>
      <c r="K25" s="31"/>
      <c r="L25" s="31"/>
      <c r="M25" s="31">
        <f>(M16+M17)*1.1%*0.92*0</f>
        <v>0</v>
      </c>
      <c r="N25" s="32">
        <f t="shared" si="6"/>
        <v>6788.1017</v>
      </c>
      <c r="O25" s="33"/>
    </row>
    <row r="26" ht="52" hidden="1" customHeight="1" spans="1:15">
      <c r="A26" s="20" t="s">
        <v>84</v>
      </c>
      <c r="B26" s="20"/>
      <c r="C26" s="21" t="s">
        <v>85</v>
      </c>
      <c r="D26" s="22"/>
      <c r="E26" s="22"/>
      <c r="F26" s="22"/>
      <c r="G26" s="22"/>
      <c r="H26" s="23"/>
      <c r="I26" s="31">
        <f>SUM(I16:I25)*5%</f>
        <v>36563.090117711</v>
      </c>
      <c r="J26" s="31">
        <v>0</v>
      </c>
      <c r="K26" s="31"/>
      <c r="L26" s="31"/>
      <c r="M26" s="31">
        <v>0</v>
      </c>
      <c r="N26" s="32">
        <f t="shared" si="6"/>
        <v>36563.090117711</v>
      </c>
      <c r="O26" s="38"/>
    </row>
    <row r="27" ht="29" customHeight="1" spans="1:15">
      <c r="A27" s="10" t="s">
        <v>86</v>
      </c>
      <c r="B27" s="10"/>
      <c r="C27" s="21" t="s">
        <v>87</v>
      </c>
      <c r="D27" s="22"/>
      <c r="E27" s="22"/>
      <c r="F27" s="22"/>
      <c r="G27" s="22"/>
      <c r="H27" s="23"/>
      <c r="I27" s="31">
        <f>SUM(I16:I26)</f>
        <v>767824.892471931</v>
      </c>
      <c r="J27" s="31">
        <f>SUM(J16:J26)</f>
        <v>597815.53855114</v>
      </c>
      <c r="K27" s="31"/>
      <c r="L27" s="31"/>
      <c r="M27" s="31">
        <f>SUM(M16:M26)</f>
        <v>564340.53408</v>
      </c>
      <c r="N27" s="32">
        <f t="shared" si="6"/>
        <v>203484.358391931</v>
      </c>
      <c r="O27" s="33"/>
    </row>
    <row r="28" spans="3:15">
      <c r="C28" s="24"/>
      <c r="D28" s="1"/>
      <c r="E28" s="1"/>
      <c r="F28" s="1"/>
      <c r="G28" s="1"/>
      <c r="H28" s="1"/>
      <c r="I28" s="1"/>
      <c r="J28" s="1"/>
      <c r="O28" s="1"/>
    </row>
    <row r="29" spans="2:15">
      <c r="B29" s="25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9"/>
      <c r="O29" s="27"/>
    </row>
    <row r="30" spans="2:15">
      <c r="B30" s="25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9"/>
      <c r="O30" s="27"/>
    </row>
    <row r="31" spans="2:15">
      <c r="B31" s="25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9"/>
      <c r="O31" s="27"/>
    </row>
    <row r="32" spans="2:15">
      <c r="B32" s="25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9"/>
      <c r="O32" s="27"/>
    </row>
    <row r="33" spans="2:15">
      <c r="B33" s="25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9"/>
      <c r="O33" s="27"/>
    </row>
    <row r="34" spans="2:15">
      <c r="B34" s="25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9"/>
      <c r="O34" s="27"/>
    </row>
    <row r="35" spans="2:15">
      <c r="B35" s="25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9"/>
      <c r="O35" s="27"/>
    </row>
    <row r="36" spans="2:15">
      <c r="B36" s="25"/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39"/>
      <c r="O36" s="27"/>
    </row>
    <row r="37" spans="2:15">
      <c r="B37" s="25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9"/>
      <c r="O37" s="27"/>
    </row>
    <row r="38" spans="2:15">
      <c r="B38" s="25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9"/>
      <c r="O38" s="27"/>
    </row>
    <row r="39" spans="2:15">
      <c r="B39" s="25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9"/>
      <c r="O39" s="27"/>
    </row>
    <row r="40" spans="2:15"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9"/>
      <c r="O40" s="27"/>
    </row>
    <row r="41" spans="3:15">
      <c r="C41" s="24"/>
      <c r="D41" s="1"/>
      <c r="E41" s="1"/>
      <c r="F41" s="1"/>
      <c r="G41" s="1"/>
      <c r="H41" s="1"/>
      <c r="I41" s="1"/>
      <c r="J41" s="1"/>
      <c r="O41" s="1"/>
    </row>
  </sheetData>
  <mergeCells count="29">
    <mergeCell ref="A1:N1"/>
    <mergeCell ref="A2:J2"/>
    <mergeCell ref="A4:H4"/>
    <mergeCell ref="A11:H11"/>
    <mergeCell ref="K11:L11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</mergeCells>
  <pageMargins left="0.751388888888889" right="0.751388888888889" top="1" bottom="1" header="0.511805555555556" footer="0.511805555555556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项目明细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noway</dc:creator>
  <cp:lastModifiedBy>WPS_1527844464</cp:lastModifiedBy>
  <dcterms:created xsi:type="dcterms:W3CDTF">2014-07-05T22:57:00Z</dcterms:created>
  <cp:lastPrinted>2024-10-13T18:02:00Z</cp:lastPrinted>
  <dcterms:modified xsi:type="dcterms:W3CDTF">2026-02-04T08:14:27Z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0831A1E9745F49DFB035A0213F5DC120_13</vt:lpwstr>
  </property>
  <property fmtid="{D5CDD505-2E9C-101B-9397-08002B2CF9AE}" pid="4" name="CalculationRule">
    <vt:i4>0</vt:i4>
  </property>
</Properties>
</file>